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465"/>
  </bookViews>
  <sheets>
    <sheet name="очистка" sheetId="1" r:id="rId1"/>
  </sheets>
  <calcPr calcId="124519"/>
</workbook>
</file>

<file path=xl/calcChain.xml><?xml version="1.0" encoding="utf-8"?>
<calcChain xmlns="http://schemas.openxmlformats.org/spreadsheetml/2006/main">
  <c r="D113" i="1"/>
  <c r="D112"/>
  <c r="G110"/>
  <c r="F110"/>
  <c r="G109"/>
  <c r="F109"/>
  <c r="E108"/>
  <c r="F108" s="1"/>
  <c r="G108" s="1"/>
  <c r="D108"/>
  <c r="D111" s="1"/>
  <c r="F107"/>
  <c r="F105"/>
  <c r="G105" s="1"/>
  <c r="F104"/>
  <c r="G104" s="1"/>
  <c r="F103"/>
  <c r="G103" s="1"/>
  <c r="F102"/>
  <c r="G102" s="1"/>
  <c r="F101"/>
  <c r="G101" s="1"/>
  <c r="F100"/>
  <c r="G100" s="1"/>
  <c r="F99"/>
  <c r="G99" s="1"/>
  <c r="F97"/>
  <c r="G97" s="1"/>
  <c r="F95"/>
  <c r="G95" s="1"/>
  <c r="E95"/>
  <c r="E94"/>
  <c r="F94" s="1"/>
  <c r="G94" s="1"/>
  <c r="E93"/>
  <c r="D93"/>
  <c r="F93" s="1"/>
  <c r="G93" s="1"/>
  <c r="F92"/>
  <c r="G92" s="1"/>
  <c r="D91"/>
  <c r="F90"/>
  <c r="G90" s="1"/>
  <c r="E90"/>
  <c r="E89"/>
  <c r="F89" s="1"/>
  <c r="G89" s="1"/>
  <c r="D88"/>
  <c r="F87"/>
  <c r="G87" s="1"/>
  <c r="F86"/>
  <c r="G86" s="1"/>
  <c r="F85"/>
  <c r="G85" s="1"/>
  <c r="E85"/>
  <c r="G84"/>
  <c r="F84"/>
  <c r="F83"/>
  <c r="F82"/>
  <c r="G82" s="1"/>
  <c r="E82"/>
  <c r="E81"/>
  <c r="F81" s="1"/>
  <c r="G81" s="1"/>
  <c r="F80"/>
  <c r="G80" s="1"/>
  <c r="F79"/>
  <c r="G79" s="1"/>
  <c r="F78"/>
  <c r="G78" s="1"/>
  <c r="E78"/>
  <c r="E77"/>
  <c r="F77" s="1"/>
  <c r="G77" s="1"/>
  <c r="F76"/>
  <c r="G76" s="1"/>
  <c r="E76"/>
  <c r="G75"/>
  <c r="F75"/>
  <c r="E74"/>
  <c r="F74" s="1"/>
  <c r="G74" s="1"/>
  <c r="D73"/>
  <c r="E72"/>
  <c r="F72" s="1"/>
  <c r="G72" s="1"/>
  <c r="D71"/>
  <c r="D70"/>
  <c r="E69"/>
  <c r="D69"/>
  <c r="F69" s="1"/>
  <c r="G69" s="1"/>
  <c r="F68"/>
  <c r="G68" s="1"/>
  <c r="D67"/>
  <c r="D66"/>
  <c r="F65"/>
  <c r="G65" s="1"/>
  <c r="F64"/>
  <c r="G64" s="1"/>
  <c r="F63"/>
  <c r="G63" s="1"/>
  <c r="F62"/>
  <c r="G62" s="1"/>
  <c r="F61"/>
  <c r="G61" s="1"/>
  <c r="F60"/>
  <c r="E59"/>
  <c r="F59" s="1"/>
  <c r="G59" s="1"/>
  <c r="F58"/>
  <c r="G58" s="1"/>
  <c r="E58"/>
  <c r="E57"/>
  <c r="F57" s="1"/>
  <c r="G57" s="1"/>
  <c r="D57"/>
  <c r="E56"/>
  <c r="F56" s="1"/>
  <c r="G56" s="1"/>
  <c r="F55"/>
  <c r="G55" s="1"/>
  <c r="F54"/>
  <c r="G54" s="1"/>
  <c r="F53"/>
  <c r="G53" s="1"/>
  <c r="F52"/>
  <c r="G52" s="1"/>
  <c r="E52"/>
  <c r="G51"/>
  <c r="F51"/>
  <c r="G50"/>
  <c r="F50"/>
  <c r="E49"/>
  <c r="F49" s="1"/>
  <c r="G49" s="1"/>
  <c r="F48"/>
  <c r="G48" s="1"/>
  <c r="E48"/>
  <c r="G47"/>
  <c r="F47"/>
  <c r="G46"/>
  <c r="F46"/>
  <c r="G45"/>
  <c r="F45"/>
  <c r="E44"/>
  <c r="F44" s="1"/>
  <c r="G44" s="1"/>
  <c r="F43"/>
  <c r="G43" s="1"/>
  <c r="D42"/>
  <c r="F41"/>
  <c r="G41" s="1"/>
  <c r="F40"/>
  <c r="G40" s="1"/>
  <c r="F39"/>
  <c r="G39" s="1"/>
  <c r="D38"/>
  <c r="D36" s="1"/>
  <c r="F37"/>
  <c r="G37" s="1"/>
  <c r="E37"/>
  <c r="E38" s="1"/>
  <c r="G35"/>
  <c r="F35"/>
  <c r="G34"/>
  <c r="F34"/>
  <c r="G33"/>
  <c r="F33"/>
  <c r="E32"/>
  <c r="F32" s="1"/>
  <c r="G32" s="1"/>
  <c r="F31"/>
  <c r="G31" s="1"/>
  <c r="F30"/>
  <c r="G30" s="1"/>
  <c r="F29"/>
  <c r="G29" s="1"/>
  <c r="F28"/>
  <c r="G28" s="1"/>
  <c r="F27"/>
  <c r="G27" s="1"/>
  <c r="F26"/>
  <c r="G26" s="1"/>
  <c r="E26"/>
  <c r="G25"/>
  <c r="F25"/>
  <c r="G24"/>
  <c r="F24"/>
  <c r="E23"/>
  <c r="F23" s="1"/>
  <c r="G23" s="1"/>
  <c r="F22"/>
  <c r="G22" s="1"/>
  <c r="F21"/>
  <c r="G21" s="1"/>
  <c r="F20"/>
  <c r="G20" s="1"/>
  <c r="E20"/>
  <c r="G19"/>
  <c r="F19"/>
  <c r="D18"/>
  <c r="F18" s="1"/>
  <c r="G18" s="1"/>
  <c r="E17"/>
  <c r="D17"/>
  <c r="F17" s="1"/>
  <c r="G17" s="1"/>
  <c r="F16"/>
  <c r="G16" s="1"/>
  <c r="F15"/>
  <c r="G15" s="1"/>
  <c r="D15"/>
  <c r="E14"/>
  <c r="F14" s="1"/>
  <c r="G14" s="1"/>
  <c r="D14"/>
  <c r="G13"/>
  <c r="F13"/>
  <c r="G12"/>
  <c r="F12"/>
  <c r="E11"/>
  <c r="F11" s="1"/>
  <c r="G11" s="1"/>
  <c r="D11"/>
  <c r="D10"/>
  <c r="F10" s="1"/>
  <c r="G10" s="1"/>
  <c r="F9"/>
  <c r="G9" s="1"/>
  <c r="E9"/>
  <c r="E8"/>
  <c r="F38" l="1"/>
  <c r="G38" s="1"/>
  <c r="E36"/>
  <c r="F36" s="1"/>
  <c r="G36" s="1"/>
  <c r="E73"/>
  <c r="F73" s="1"/>
  <c r="E111"/>
  <c r="F111" s="1"/>
  <c r="G111" s="1"/>
  <c r="E112"/>
  <c r="F112" s="1"/>
  <c r="G112" s="1"/>
  <c r="E113"/>
  <c r="F113" s="1"/>
  <c r="G113" s="1"/>
  <c r="D8"/>
  <c r="D7" s="1"/>
  <c r="D96" s="1"/>
  <c r="D98" s="1"/>
  <c r="D106" s="1"/>
  <c r="E42"/>
  <c r="F42" s="1"/>
  <c r="G42" s="1"/>
  <c r="E88"/>
  <c r="F88" s="1"/>
  <c r="G88" s="1"/>
  <c r="E91"/>
  <c r="F91" s="1"/>
  <c r="G91" s="1"/>
  <c r="E7" l="1"/>
  <c r="E71"/>
  <c r="F8"/>
  <c r="G8" s="1"/>
  <c r="F7" l="1"/>
  <c r="G7" s="1"/>
  <c r="E70"/>
  <c r="F71"/>
  <c r="G71" s="1"/>
  <c r="E67" l="1"/>
  <c r="F70"/>
  <c r="G70" s="1"/>
  <c r="E96"/>
  <c r="E98" l="1"/>
  <c r="F96"/>
  <c r="G96" s="1"/>
  <c r="E66"/>
  <c r="F66" s="1"/>
  <c r="G66" s="1"/>
  <c r="F67"/>
  <c r="G67" s="1"/>
  <c r="E106" l="1"/>
  <c r="F106" s="1"/>
  <c r="G106" s="1"/>
  <c r="F98"/>
  <c r="G98" s="1"/>
</calcChain>
</file>

<file path=xl/sharedStrings.xml><?xml version="1.0" encoding="utf-8"?>
<sst xmlns="http://schemas.openxmlformats.org/spreadsheetml/2006/main" count="304" uniqueCount="188">
  <si>
    <t>Наименование субъекта: ГКП на ПХВ Бурабай Су Арнасы" при отделе жилищно-коммунального хозяйства, пассажирского транспорта  и автомобильных дорог Бурабайского района</t>
  </si>
  <si>
    <t>Отчет об исполнении тарифной сметы на услуги по очистке сточных вод на 2015 год</t>
  </si>
  <si>
    <t xml:space="preserve">№ п/п </t>
  </si>
  <si>
    <t xml:space="preserve">Наименование статей </t>
  </si>
  <si>
    <t>Ед.изм.</t>
  </si>
  <si>
    <t>приказ от 24.12.2014 г № 340-ОД откорректированная ТС на 2013 г</t>
  </si>
  <si>
    <t>Факт за 2015 год</t>
  </si>
  <si>
    <t>Отклонение от действующей ТС проект ДАРЕМ</t>
  </si>
  <si>
    <t>сумма</t>
  </si>
  <si>
    <t>%</t>
  </si>
  <si>
    <t>I</t>
  </si>
  <si>
    <t>Затраты на производство товаров и предоставление услуг, всего:</t>
  </si>
  <si>
    <t>тыс.тенге</t>
  </si>
  <si>
    <t>Материалы затраты,всего,     в т.ч</t>
  </si>
  <si>
    <t>1.1</t>
  </si>
  <si>
    <t xml:space="preserve"> сырье и материалы</t>
  </si>
  <si>
    <t>1.2</t>
  </si>
  <si>
    <t xml:space="preserve">ГСМ </t>
  </si>
  <si>
    <t>АИ-80 (общая сумма)</t>
  </si>
  <si>
    <t xml:space="preserve">объем </t>
  </si>
  <si>
    <t>литр</t>
  </si>
  <si>
    <t>цена</t>
  </si>
  <si>
    <t>тенге</t>
  </si>
  <si>
    <t>дизтопливо (общая сумма)</t>
  </si>
  <si>
    <t>объем</t>
  </si>
  <si>
    <t>масла (общая сумма)</t>
  </si>
  <si>
    <t>1.3</t>
  </si>
  <si>
    <t xml:space="preserve">топливо (уголь) </t>
  </si>
  <si>
    <t>тонн</t>
  </si>
  <si>
    <t>1.4</t>
  </si>
  <si>
    <t xml:space="preserve">энергия покупная </t>
  </si>
  <si>
    <t>общий объем</t>
  </si>
  <si>
    <t>тыс.кВт</t>
  </si>
  <si>
    <t xml:space="preserve"> ТОО "КокшетауЭнергоЦентр" "ВостокЭнерго"</t>
  </si>
  <si>
    <t>средневзвешенная цена</t>
  </si>
  <si>
    <t>ТОО ЭнергоПромТехно</t>
  </si>
  <si>
    <t>1.5</t>
  </si>
  <si>
    <t>запасные части</t>
  </si>
  <si>
    <t>1.6</t>
  </si>
  <si>
    <t>покупная вода (РГП "Казводхоз")</t>
  </si>
  <si>
    <t xml:space="preserve">общий объем </t>
  </si>
  <si>
    <t>тыс.м3</t>
  </si>
  <si>
    <t>2</t>
  </si>
  <si>
    <t>Затраты на оплату труда, всего,в т.ч.</t>
  </si>
  <si>
    <t>2.1</t>
  </si>
  <si>
    <t>зарплата производственного персонала</t>
  </si>
  <si>
    <t>2.2</t>
  </si>
  <si>
    <t>социальный налог</t>
  </si>
  <si>
    <t>3</t>
  </si>
  <si>
    <t xml:space="preserve">Амортизация </t>
  </si>
  <si>
    <t>4</t>
  </si>
  <si>
    <t>Ремонт , всего, в т.ч.</t>
  </si>
  <si>
    <t>4.1</t>
  </si>
  <si>
    <t xml:space="preserve">капитальный ремонт, не приводящий к увеличению стоимости основных средств </t>
  </si>
  <si>
    <t>5</t>
  </si>
  <si>
    <t>Прочие  затраты ,всего,в т.ч</t>
  </si>
  <si>
    <t>5.1</t>
  </si>
  <si>
    <t xml:space="preserve">услуги связи </t>
  </si>
  <si>
    <t>5.2</t>
  </si>
  <si>
    <t>охрана труда и ТБ</t>
  </si>
  <si>
    <t>5.3</t>
  </si>
  <si>
    <t>коммунальные услуги (вывоз мусора)</t>
  </si>
  <si>
    <t>5.4</t>
  </si>
  <si>
    <t>охрана окруж среды</t>
  </si>
  <si>
    <t>5.5</t>
  </si>
  <si>
    <t>плата за пользование природных ресурсов (с озера Щучье)</t>
  </si>
  <si>
    <t>5.6</t>
  </si>
  <si>
    <t>дезинфекция, дератизация производственных помещений</t>
  </si>
  <si>
    <t>5.7</t>
  </si>
  <si>
    <t xml:space="preserve">обязательные виды страхования </t>
  </si>
  <si>
    <t>5.8</t>
  </si>
  <si>
    <t xml:space="preserve">страхование автотранстортных средств </t>
  </si>
  <si>
    <t>5.9</t>
  </si>
  <si>
    <t>аудит</t>
  </si>
  <si>
    <t>5.10</t>
  </si>
  <si>
    <t>тех осмотр</t>
  </si>
  <si>
    <t>5.11</t>
  </si>
  <si>
    <t>мед услуги</t>
  </si>
  <si>
    <t>5.12</t>
  </si>
  <si>
    <t>поверка оборудования</t>
  </si>
  <si>
    <t>5.13</t>
  </si>
  <si>
    <t>противопожарные мероприятия</t>
  </si>
  <si>
    <t>5.14</t>
  </si>
  <si>
    <t>замеры выбросов вредных веществ</t>
  </si>
  <si>
    <t>5.15</t>
  </si>
  <si>
    <t>прочие услуги</t>
  </si>
  <si>
    <t>5.15.1</t>
  </si>
  <si>
    <t>проведение атестации</t>
  </si>
  <si>
    <t>5.15.2</t>
  </si>
  <si>
    <t>аттестация электриков</t>
  </si>
  <si>
    <t>5.15.3</t>
  </si>
  <si>
    <t>разработка ПСД</t>
  </si>
  <si>
    <t>5.15.4</t>
  </si>
  <si>
    <t>аренда зала для проведени я слушаний</t>
  </si>
  <si>
    <t>5.15.5</t>
  </si>
  <si>
    <t>техобслуживание</t>
  </si>
  <si>
    <t>5.15.6</t>
  </si>
  <si>
    <t>изготовление дорожных знаков</t>
  </si>
  <si>
    <t>5.15.7</t>
  </si>
  <si>
    <t>изготовление паспорта парниковых газов в атмосферу</t>
  </si>
  <si>
    <t>5.15.8</t>
  </si>
  <si>
    <t>оформление разрешения на эмиссии в окружающую среду</t>
  </si>
  <si>
    <t>курсы ПФК</t>
  </si>
  <si>
    <t>наклейка логотипа</t>
  </si>
  <si>
    <t>порезка металлопроката</t>
  </si>
  <si>
    <t>перемотка двигателя</t>
  </si>
  <si>
    <t>II</t>
  </si>
  <si>
    <t xml:space="preserve">Расходы периода </t>
  </si>
  <si>
    <t>6</t>
  </si>
  <si>
    <t xml:space="preserve">Общие и административные расходы </t>
  </si>
  <si>
    <t>6.1</t>
  </si>
  <si>
    <t xml:space="preserve">з/плата административного персонала </t>
  </si>
  <si>
    <t>6.2</t>
  </si>
  <si>
    <t>6.3</t>
  </si>
  <si>
    <t xml:space="preserve">услуги банка </t>
  </si>
  <si>
    <t>6.4</t>
  </si>
  <si>
    <t>6.5</t>
  </si>
  <si>
    <t xml:space="preserve">командировочные расходы </t>
  </si>
  <si>
    <t>6.6</t>
  </si>
  <si>
    <t>периодическая печать</t>
  </si>
  <si>
    <t>6.7</t>
  </si>
  <si>
    <t>содержание легкового автотранспорта (ГСМ, запасные части)</t>
  </si>
  <si>
    <t>6.8</t>
  </si>
  <si>
    <t>канцелярские товары</t>
  </si>
  <si>
    <t>6.9</t>
  </si>
  <si>
    <t>аммортизация</t>
  </si>
  <si>
    <t>6.10</t>
  </si>
  <si>
    <t>расходы на содержание и обслуживание технических средств  управления,узлов связи,вычислительной техники и т.д.</t>
  </si>
  <si>
    <t>6.11</t>
  </si>
  <si>
    <t>6.12</t>
  </si>
  <si>
    <t>объявления  в СМИ</t>
  </si>
  <si>
    <t>6.13</t>
  </si>
  <si>
    <t>коммуслуги (вывоз мусора)</t>
  </si>
  <si>
    <t>6.14</t>
  </si>
  <si>
    <t>6.14.1</t>
  </si>
  <si>
    <t>нотариальные услуги</t>
  </si>
  <si>
    <t>6.14.2</t>
  </si>
  <si>
    <t>услуги почты</t>
  </si>
  <si>
    <t>6.15</t>
  </si>
  <si>
    <t>налоги, в том числе:</t>
  </si>
  <si>
    <t>6.15.1</t>
  </si>
  <si>
    <t>на имущество</t>
  </si>
  <si>
    <t>6.15.2</t>
  </si>
  <si>
    <t>на транспорт</t>
  </si>
  <si>
    <t>7</t>
  </si>
  <si>
    <t xml:space="preserve">Расходы на содержание службы быта </t>
  </si>
  <si>
    <t>7.1</t>
  </si>
  <si>
    <t xml:space="preserve">заработная плата </t>
  </si>
  <si>
    <t>7.2</t>
  </si>
  <si>
    <t xml:space="preserve">социальный налог </t>
  </si>
  <si>
    <t>7.3</t>
  </si>
  <si>
    <t>аренда помещения</t>
  </si>
  <si>
    <t>7.4</t>
  </si>
  <si>
    <t xml:space="preserve">расходы на оформление квитанций </t>
  </si>
  <si>
    <t>III</t>
  </si>
  <si>
    <t xml:space="preserve">Всего затрат </t>
  </si>
  <si>
    <t>IV</t>
  </si>
  <si>
    <t>Прибыль</t>
  </si>
  <si>
    <t>V</t>
  </si>
  <si>
    <t xml:space="preserve">Всего доходов </t>
  </si>
  <si>
    <t>VI</t>
  </si>
  <si>
    <t>Обьем забора воды</t>
  </si>
  <si>
    <t xml:space="preserve"> </t>
  </si>
  <si>
    <t>РГП "Казводхоз"</t>
  </si>
  <si>
    <t>водоисточник озера Щучье</t>
  </si>
  <si>
    <t>VII</t>
  </si>
  <si>
    <t>Нормативно-технические потери</t>
  </si>
  <si>
    <t>тыс. м3</t>
  </si>
  <si>
    <t>VIII</t>
  </si>
  <si>
    <t xml:space="preserve">Обьем предоставленных услуг </t>
  </si>
  <si>
    <t>IX</t>
  </si>
  <si>
    <t xml:space="preserve">Средневзвешенный тариф без НДС </t>
  </si>
  <si>
    <t>Справочно</t>
  </si>
  <si>
    <t xml:space="preserve">Среднесписочная численность работников  </t>
  </si>
  <si>
    <t>чел.</t>
  </si>
  <si>
    <t>8.1.</t>
  </si>
  <si>
    <t>производственного  персонала</t>
  </si>
  <si>
    <t>8.2.</t>
  </si>
  <si>
    <t xml:space="preserve">административного персонала </t>
  </si>
  <si>
    <t>Среднемесячная заработная плата</t>
  </si>
  <si>
    <t>9.1.</t>
  </si>
  <si>
    <t>производственного персонала</t>
  </si>
  <si>
    <t>9.2.</t>
  </si>
  <si>
    <t>Директор ГКП на ПХВ</t>
  </si>
  <si>
    <t>Телегенова Г.П.</t>
  </si>
  <si>
    <t>Бурабай Су Арнасы:</t>
  </si>
  <si>
    <t>Гл.бухгалтер:</t>
  </si>
  <si>
    <t>Рудницкая Н.Д.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</si>
</sst>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#,##0.0"/>
  </numFmts>
  <fonts count="8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6" fillId="0" borderId="4" xfId="0" applyFont="1" applyFill="1" applyBorder="1"/>
    <xf numFmtId="2" fontId="2" fillId="0" borderId="2" xfId="1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4" fontId="2" fillId="0" borderId="2" xfId="1" applyFont="1" applyFill="1" applyBorder="1" applyAlignment="1"/>
    <xf numFmtId="164" fontId="2" fillId="0" borderId="2" xfId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2" fontId="2" fillId="0" borderId="2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2" fontId="3" fillId="2" borderId="2" xfId="1" applyNumberFormat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 vertical="center"/>
    </xf>
    <xf numFmtId="0" fontId="3" fillId="0" borderId="4" xfId="0" applyFont="1" applyFill="1" applyBorder="1"/>
    <xf numFmtId="0" fontId="2" fillId="0" borderId="2" xfId="0" applyFont="1" applyFill="1" applyBorder="1" applyAlignment="1"/>
    <xf numFmtId="164" fontId="4" fillId="0" borderId="2" xfId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6" fillId="0" borderId="3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/>
    </xf>
    <xf numFmtId="167" fontId="3" fillId="0" borderId="2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2" fontId="3" fillId="5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6" borderId="2" xfId="0" applyFont="1" applyFill="1" applyBorder="1" applyAlignment="1">
      <alignment horizontal="center"/>
    </xf>
    <xf numFmtId="0" fontId="3" fillId="0" borderId="2" xfId="0" applyFont="1" applyFill="1" applyBorder="1"/>
    <xf numFmtId="0" fontId="7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topLeftCell="A82" workbookViewId="0">
      <selection activeCell="E85" sqref="E85"/>
    </sheetView>
  </sheetViews>
  <sheetFormatPr defaultRowHeight="12.75"/>
  <cols>
    <col min="1" max="1" width="4" customWidth="1"/>
    <col min="2" max="2" width="28.28515625" customWidth="1"/>
    <col min="3" max="3" width="8.7109375" customWidth="1"/>
    <col min="4" max="4" width="10.85546875" customWidth="1"/>
    <col min="5" max="5" width="11.140625" customWidth="1"/>
    <col min="6" max="6" width="11" customWidth="1"/>
    <col min="7" max="7" width="10.140625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2" t="s">
        <v>0</v>
      </c>
      <c r="B2" s="2"/>
      <c r="C2" s="2"/>
      <c r="D2" s="2"/>
      <c r="E2" s="2"/>
      <c r="F2" s="2"/>
      <c r="G2" s="2"/>
    </row>
    <row r="3" spans="1:7">
      <c r="A3" s="3" t="s">
        <v>1</v>
      </c>
      <c r="B3" s="3"/>
      <c r="C3" s="3"/>
      <c r="D3" s="3"/>
      <c r="E3" s="3"/>
      <c r="F3" s="3"/>
      <c r="G3" s="3"/>
    </row>
    <row r="4" spans="1:7" ht="25.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10"/>
    </row>
    <row r="5" spans="1:7">
      <c r="A5" s="11"/>
      <c r="B5" s="12"/>
      <c r="C5" s="6"/>
      <c r="D5" s="13"/>
      <c r="E5" s="14"/>
      <c r="F5" s="15" t="s">
        <v>8</v>
      </c>
      <c r="G5" s="15" t="s">
        <v>9</v>
      </c>
    </row>
    <row r="6" spans="1:7">
      <c r="A6" s="16">
        <v>1</v>
      </c>
      <c r="B6" s="17">
        <v>2</v>
      </c>
      <c r="C6" s="16">
        <v>3</v>
      </c>
      <c r="D6" s="18">
        <v>4</v>
      </c>
      <c r="E6" s="18">
        <v>7</v>
      </c>
      <c r="F6" s="16">
        <v>8</v>
      </c>
      <c r="G6" s="16">
        <v>9</v>
      </c>
    </row>
    <row r="7" spans="1:7" ht="38.25">
      <c r="A7" s="15" t="s">
        <v>10</v>
      </c>
      <c r="B7" s="19" t="s">
        <v>11</v>
      </c>
      <c r="C7" s="20" t="s">
        <v>12</v>
      </c>
      <c r="D7" s="21">
        <f>D8+D36+D39+D40+D42</f>
        <v>37819.279928600001</v>
      </c>
      <c r="E7" s="21">
        <f>E8+E36+E39+E40+E42</f>
        <v>48075.143824999999</v>
      </c>
      <c r="F7" s="22">
        <f>E7-D7</f>
        <v>10255.863896399998</v>
      </c>
      <c r="G7" s="23">
        <f t="shared" ref="G7:G59" si="0">F7/D7*100</f>
        <v>27.118083463678605</v>
      </c>
    </row>
    <row r="8" spans="1:7" ht="25.5">
      <c r="A8" s="24">
        <v>1</v>
      </c>
      <c r="B8" s="19" t="s">
        <v>13</v>
      </c>
      <c r="C8" s="25" t="s">
        <v>12</v>
      </c>
      <c r="D8" s="26">
        <f>D9+D10+D20+D23+D32</f>
        <v>22393.100828600003</v>
      </c>
      <c r="E8" s="26">
        <f>E9+E10+E20+E23+E32</f>
        <v>30461.376625000001</v>
      </c>
      <c r="F8" s="22">
        <f t="shared" ref="F8:F71" si="1">E8-D8</f>
        <v>8068.2757963999975</v>
      </c>
      <c r="G8" s="23">
        <f t="shared" si="0"/>
        <v>36.030185627956278</v>
      </c>
    </row>
    <row r="9" spans="1:7">
      <c r="A9" s="27" t="s">
        <v>14</v>
      </c>
      <c r="B9" s="28" t="s">
        <v>15</v>
      </c>
      <c r="C9" s="29" t="s">
        <v>12</v>
      </c>
      <c r="D9" s="30">
        <v>801.2</v>
      </c>
      <c r="E9" s="31">
        <f>1.667+0.3+671.587+6.6+1.2+14.761+40.06+50+31.4</f>
        <v>817.57499999999993</v>
      </c>
      <c r="F9" s="22">
        <f t="shared" si="1"/>
        <v>16.374999999999886</v>
      </c>
      <c r="G9" s="23">
        <f t="shared" si="0"/>
        <v>2.0438092860708794</v>
      </c>
    </row>
    <row r="10" spans="1:7">
      <c r="A10" s="32" t="s">
        <v>16</v>
      </c>
      <c r="B10" s="33" t="s">
        <v>17</v>
      </c>
      <c r="C10" s="34" t="s">
        <v>12</v>
      </c>
      <c r="D10" s="30">
        <f>D11+D14+D17</f>
        <v>1247.7008286</v>
      </c>
      <c r="E10" s="31">
        <v>1593</v>
      </c>
      <c r="F10" s="22">
        <f t="shared" si="1"/>
        <v>345.29917139999998</v>
      </c>
      <c r="G10" s="23">
        <f t="shared" si="0"/>
        <v>27.674837067107482</v>
      </c>
    </row>
    <row r="11" spans="1:7">
      <c r="A11" s="32"/>
      <c r="B11" s="35" t="s">
        <v>18</v>
      </c>
      <c r="C11" s="25" t="s">
        <v>12</v>
      </c>
      <c r="D11" s="36">
        <f>D12*D13/1000</f>
        <v>685.08378020000009</v>
      </c>
      <c r="E11" s="22">
        <f>E12*E13/1000</f>
        <v>680.97219999999993</v>
      </c>
      <c r="F11" s="22">
        <f t="shared" si="1"/>
        <v>-4.1115802000001622</v>
      </c>
      <c r="G11" s="23">
        <f t="shared" si="0"/>
        <v>-0.60015728277785918</v>
      </c>
    </row>
    <row r="12" spans="1:7">
      <c r="A12" s="32"/>
      <c r="B12" s="37" t="s">
        <v>19</v>
      </c>
      <c r="C12" s="25" t="s">
        <v>20</v>
      </c>
      <c r="D12" s="30">
        <v>8465.14</v>
      </c>
      <c r="E12" s="31">
        <v>8570</v>
      </c>
      <c r="F12" s="22">
        <f t="shared" si="1"/>
        <v>104.86000000000058</v>
      </c>
      <c r="G12" s="23">
        <f t="shared" si="0"/>
        <v>1.238727298071864</v>
      </c>
    </row>
    <row r="13" spans="1:7">
      <c r="A13" s="32"/>
      <c r="B13" s="37" t="s">
        <v>21</v>
      </c>
      <c r="C13" s="25" t="s">
        <v>22</v>
      </c>
      <c r="D13" s="36">
        <v>80.930000000000007</v>
      </c>
      <c r="E13" s="22">
        <v>79.459999999999994</v>
      </c>
      <c r="F13" s="22">
        <f t="shared" si="1"/>
        <v>-1.4700000000000131</v>
      </c>
      <c r="G13" s="23">
        <f t="shared" si="0"/>
        <v>-1.8163845298406189</v>
      </c>
    </row>
    <row r="14" spans="1:7">
      <c r="A14" s="32"/>
      <c r="B14" s="38" t="s">
        <v>23</v>
      </c>
      <c r="C14" s="25" t="s">
        <v>12</v>
      </c>
      <c r="D14" s="36">
        <f>D15*D16/1000</f>
        <v>386.66683440000003</v>
      </c>
      <c r="E14" s="22">
        <f>E15*E16/1000</f>
        <v>584.85011299999996</v>
      </c>
      <c r="F14" s="22">
        <f t="shared" si="1"/>
        <v>198.18327859999994</v>
      </c>
      <c r="G14" s="23">
        <f t="shared" si="0"/>
        <v>51.25427395590458</v>
      </c>
    </row>
    <row r="15" spans="1:7">
      <c r="A15" s="32"/>
      <c r="B15" s="37" t="s">
        <v>24</v>
      </c>
      <c r="C15" s="25" t="s">
        <v>20</v>
      </c>
      <c r="D15" s="30">
        <f>5702.4-939.32</f>
        <v>4763.08</v>
      </c>
      <c r="E15" s="31">
        <v>6616.7</v>
      </c>
      <c r="F15" s="22">
        <f t="shared" si="1"/>
        <v>1853.62</v>
      </c>
      <c r="G15" s="23">
        <f t="shared" si="0"/>
        <v>38.916415428672202</v>
      </c>
    </row>
    <row r="16" spans="1:7">
      <c r="A16" s="32"/>
      <c r="B16" s="37" t="s">
        <v>21</v>
      </c>
      <c r="C16" s="25" t="s">
        <v>22</v>
      </c>
      <c r="D16" s="36">
        <v>81.180000000000007</v>
      </c>
      <c r="E16" s="22">
        <v>88.39</v>
      </c>
      <c r="F16" s="22">
        <f t="shared" si="1"/>
        <v>7.2099999999999937</v>
      </c>
      <c r="G16" s="23">
        <f t="shared" si="0"/>
        <v>8.8814979058881409</v>
      </c>
    </row>
    <row r="17" spans="1:7">
      <c r="A17" s="32"/>
      <c r="B17" s="39" t="s">
        <v>25</v>
      </c>
      <c r="C17" s="34" t="s">
        <v>12</v>
      </c>
      <c r="D17" s="30">
        <f>D18*D19/1000</f>
        <v>175.95021400000002</v>
      </c>
      <c r="E17" s="31">
        <f>E18*E19/1000</f>
        <v>184.12444640000001</v>
      </c>
      <c r="F17" s="22">
        <f t="shared" si="1"/>
        <v>8.174232399999994</v>
      </c>
      <c r="G17" s="23">
        <f t="shared" si="0"/>
        <v>4.6457643978767731</v>
      </c>
    </row>
    <row r="18" spans="1:7">
      <c r="A18" s="32"/>
      <c r="B18" s="37" t="s">
        <v>19</v>
      </c>
      <c r="C18" s="25" t="s">
        <v>20</v>
      </c>
      <c r="D18" s="36">
        <f>316.33+344.64</f>
        <v>660.97</v>
      </c>
      <c r="E18" s="22">
        <v>593.72</v>
      </c>
      <c r="F18" s="22">
        <f t="shared" si="1"/>
        <v>-67.25</v>
      </c>
      <c r="G18" s="23">
        <f t="shared" si="0"/>
        <v>-10.174440594883277</v>
      </c>
    </row>
    <row r="19" spans="1:7">
      <c r="A19" s="32"/>
      <c r="B19" s="37" t="s">
        <v>21</v>
      </c>
      <c r="C19" s="25" t="s">
        <v>22</v>
      </c>
      <c r="D19" s="36">
        <v>266.2</v>
      </c>
      <c r="E19" s="22">
        <v>310.12</v>
      </c>
      <c r="F19" s="22">
        <f t="shared" si="1"/>
        <v>43.920000000000016</v>
      </c>
      <c r="G19" s="23">
        <f t="shared" si="0"/>
        <v>16.498873027798655</v>
      </c>
    </row>
    <row r="20" spans="1:7">
      <c r="A20" s="32" t="s">
        <v>26</v>
      </c>
      <c r="B20" s="33" t="s">
        <v>27</v>
      </c>
      <c r="C20" s="34" t="s">
        <v>12</v>
      </c>
      <c r="D20" s="30">
        <v>805.3</v>
      </c>
      <c r="E20" s="31">
        <f>E22*E21/1000</f>
        <v>849.75962500000014</v>
      </c>
      <c r="F20" s="22">
        <f t="shared" si="1"/>
        <v>44.459625000000187</v>
      </c>
      <c r="G20" s="23">
        <f t="shared" si="0"/>
        <v>5.520877312802706</v>
      </c>
    </row>
    <row r="21" spans="1:7">
      <c r="A21" s="32"/>
      <c r="B21" s="40" t="s">
        <v>19</v>
      </c>
      <c r="C21" s="41" t="s">
        <v>28</v>
      </c>
      <c r="D21" s="36">
        <v>180</v>
      </c>
      <c r="E21" s="22">
        <v>171.25</v>
      </c>
      <c r="F21" s="22">
        <f t="shared" si="1"/>
        <v>-8.75</v>
      </c>
      <c r="G21" s="23">
        <f t="shared" si="0"/>
        <v>-4.8611111111111116</v>
      </c>
    </row>
    <row r="22" spans="1:7">
      <c r="A22" s="32"/>
      <c r="B22" s="40" t="s">
        <v>21</v>
      </c>
      <c r="C22" s="41" t="s">
        <v>22</v>
      </c>
      <c r="D22" s="36">
        <v>4296</v>
      </c>
      <c r="E22" s="22">
        <v>4962.1000000000004</v>
      </c>
      <c r="F22" s="22">
        <f t="shared" si="1"/>
        <v>666.10000000000036</v>
      </c>
      <c r="G22" s="23">
        <f t="shared" si="0"/>
        <v>15.505121042830549</v>
      </c>
    </row>
    <row r="23" spans="1:7">
      <c r="A23" s="42" t="s">
        <v>29</v>
      </c>
      <c r="B23" s="43" t="s">
        <v>30</v>
      </c>
      <c r="C23" s="44" t="s">
        <v>12</v>
      </c>
      <c r="D23" s="45">
        <v>19410.2</v>
      </c>
      <c r="E23" s="31">
        <f>E26</f>
        <v>27070.842000000001</v>
      </c>
      <c r="F23" s="22">
        <f t="shared" si="1"/>
        <v>7660.6419999999998</v>
      </c>
      <c r="G23" s="23">
        <f t="shared" si="0"/>
        <v>39.467094620354246</v>
      </c>
    </row>
    <row r="24" spans="1:7">
      <c r="A24" s="32"/>
      <c r="B24" s="46" t="s">
        <v>31</v>
      </c>
      <c r="C24" s="20" t="s">
        <v>32</v>
      </c>
      <c r="D24" s="47">
        <v>1442</v>
      </c>
      <c r="E24" s="22">
        <v>1468</v>
      </c>
      <c r="F24" s="22">
        <f t="shared" si="1"/>
        <v>26</v>
      </c>
      <c r="G24" s="23">
        <f t="shared" si="0"/>
        <v>1.8030513176144243</v>
      </c>
    </row>
    <row r="25" spans="1:7">
      <c r="A25" s="32"/>
      <c r="B25" s="46" t="s">
        <v>21</v>
      </c>
      <c r="C25" s="20" t="s">
        <v>12</v>
      </c>
      <c r="D25" s="48">
        <v>13.46</v>
      </c>
      <c r="E25" s="22">
        <v>18.440000000000001</v>
      </c>
      <c r="F25" s="22">
        <f t="shared" si="1"/>
        <v>4.9800000000000004</v>
      </c>
      <c r="G25" s="23">
        <f t="shared" si="0"/>
        <v>36.998514115898963</v>
      </c>
    </row>
    <row r="26" spans="1:7" ht="25.5">
      <c r="A26" s="32"/>
      <c r="B26" s="49" t="s">
        <v>33</v>
      </c>
      <c r="C26" s="25" t="s">
        <v>12</v>
      </c>
      <c r="D26" s="50">
        <v>19410.2</v>
      </c>
      <c r="E26" s="22">
        <f>E27*E28</f>
        <v>27070.842000000001</v>
      </c>
      <c r="F26" s="22">
        <f t="shared" si="1"/>
        <v>7660.6419999999998</v>
      </c>
      <c r="G26" s="23">
        <f t="shared" si="0"/>
        <v>39.467094620354246</v>
      </c>
    </row>
    <row r="27" spans="1:7">
      <c r="A27" s="32"/>
      <c r="B27" s="37" t="s">
        <v>19</v>
      </c>
      <c r="C27" s="25" t="s">
        <v>32</v>
      </c>
      <c r="D27" s="36">
        <v>1442</v>
      </c>
      <c r="E27" s="22">
        <v>1468.05</v>
      </c>
      <c r="F27" s="22">
        <f t="shared" si="1"/>
        <v>26.049999999999955</v>
      </c>
      <c r="G27" s="23">
        <f t="shared" si="0"/>
        <v>1.8065187239944491</v>
      </c>
    </row>
    <row r="28" spans="1:7">
      <c r="A28" s="32"/>
      <c r="B28" s="37" t="s">
        <v>34</v>
      </c>
      <c r="C28" s="25" t="s">
        <v>22</v>
      </c>
      <c r="D28" s="36">
        <v>13.46</v>
      </c>
      <c r="E28" s="22">
        <v>18.440000000000001</v>
      </c>
      <c r="F28" s="22">
        <f t="shared" si="1"/>
        <v>4.9800000000000004</v>
      </c>
      <c r="G28" s="23">
        <f t="shared" si="0"/>
        <v>36.998514115898963</v>
      </c>
    </row>
    <row r="29" spans="1:7">
      <c r="A29" s="32"/>
      <c r="B29" s="51" t="s">
        <v>35</v>
      </c>
      <c r="C29" s="25" t="s">
        <v>12</v>
      </c>
      <c r="D29" s="36"/>
      <c r="E29" s="22"/>
      <c r="F29" s="22">
        <f t="shared" si="1"/>
        <v>0</v>
      </c>
      <c r="G29" s="23" t="e">
        <f t="shared" si="0"/>
        <v>#DIV/0!</v>
      </c>
    </row>
    <row r="30" spans="1:7">
      <c r="A30" s="32"/>
      <c r="B30" s="37" t="s">
        <v>24</v>
      </c>
      <c r="C30" s="25" t="s">
        <v>32</v>
      </c>
      <c r="D30" s="36"/>
      <c r="E30" s="22"/>
      <c r="F30" s="22">
        <f t="shared" si="1"/>
        <v>0</v>
      </c>
      <c r="G30" s="23" t="e">
        <f t="shared" si="0"/>
        <v>#DIV/0!</v>
      </c>
    </row>
    <row r="31" spans="1:7">
      <c r="A31" s="32"/>
      <c r="B31" s="37" t="s">
        <v>21</v>
      </c>
      <c r="C31" s="25" t="s">
        <v>22</v>
      </c>
      <c r="D31" s="36"/>
      <c r="E31" s="21">
        <v>0</v>
      </c>
      <c r="F31" s="22">
        <f t="shared" si="1"/>
        <v>0</v>
      </c>
      <c r="G31" s="23" t="e">
        <f t="shared" si="0"/>
        <v>#DIV/0!</v>
      </c>
    </row>
    <row r="32" spans="1:7">
      <c r="A32" s="32" t="s">
        <v>36</v>
      </c>
      <c r="B32" s="33" t="s">
        <v>37</v>
      </c>
      <c r="C32" s="34" t="s">
        <v>12</v>
      </c>
      <c r="D32" s="30">
        <v>128.69999999999999</v>
      </c>
      <c r="E32" s="31">
        <f>180.2-50</f>
        <v>130.19999999999999</v>
      </c>
      <c r="F32" s="22">
        <f t="shared" si="1"/>
        <v>1.5</v>
      </c>
      <c r="G32" s="23">
        <f t="shared" si="0"/>
        <v>1.1655011655011656</v>
      </c>
    </row>
    <row r="33" spans="1:7">
      <c r="A33" s="32" t="s">
        <v>38</v>
      </c>
      <c r="B33" s="49" t="s">
        <v>39</v>
      </c>
      <c r="C33" s="25" t="s">
        <v>12</v>
      </c>
      <c r="D33" s="36"/>
      <c r="E33" s="21"/>
      <c r="F33" s="22">
        <f t="shared" si="1"/>
        <v>0</v>
      </c>
      <c r="G33" s="23" t="e">
        <f t="shared" si="0"/>
        <v>#DIV/0!</v>
      </c>
    </row>
    <row r="34" spans="1:7">
      <c r="A34" s="32"/>
      <c r="B34" s="52" t="s">
        <v>40</v>
      </c>
      <c r="C34" s="41" t="s">
        <v>41</v>
      </c>
      <c r="D34" s="36"/>
      <c r="E34" s="22"/>
      <c r="F34" s="22">
        <f t="shared" si="1"/>
        <v>0</v>
      </c>
      <c r="G34" s="23" t="e">
        <f t="shared" si="0"/>
        <v>#DIV/0!</v>
      </c>
    </row>
    <row r="35" spans="1:7">
      <c r="A35" s="32"/>
      <c r="B35" s="37" t="s">
        <v>21</v>
      </c>
      <c r="C35" s="25" t="s">
        <v>22</v>
      </c>
      <c r="D35" s="36"/>
      <c r="E35" s="22"/>
      <c r="F35" s="22">
        <f t="shared" si="1"/>
        <v>0</v>
      </c>
      <c r="G35" s="23" t="e">
        <f t="shared" si="0"/>
        <v>#DIV/0!</v>
      </c>
    </row>
    <row r="36" spans="1:7" ht="25.5">
      <c r="A36" s="53" t="s">
        <v>42</v>
      </c>
      <c r="B36" s="19" t="s">
        <v>43</v>
      </c>
      <c r="C36" s="25" t="s">
        <v>12</v>
      </c>
      <c r="D36" s="54">
        <f>D37+D38</f>
        <v>13276.909099999999</v>
      </c>
      <c r="E36" s="54">
        <f>E37+E38</f>
        <v>15060.476199999999</v>
      </c>
      <c r="F36" s="22">
        <f t="shared" si="1"/>
        <v>1783.5671000000002</v>
      </c>
      <c r="G36" s="23">
        <f t="shared" si="0"/>
        <v>13.433601801190312</v>
      </c>
    </row>
    <row r="37" spans="1:7" ht="25.5">
      <c r="A37" s="55" t="s">
        <v>44</v>
      </c>
      <c r="B37" s="56" t="s">
        <v>45</v>
      </c>
      <c r="C37" s="57" t="s">
        <v>12</v>
      </c>
      <c r="D37" s="30">
        <v>12080.9</v>
      </c>
      <c r="E37" s="31">
        <f>23703.8-10000</f>
        <v>13703.8</v>
      </c>
      <c r="F37" s="22">
        <f t="shared" si="1"/>
        <v>1622.8999999999996</v>
      </c>
      <c r="G37" s="23">
        <f t="shared" si="0"/>
        <v>13.433601801190306</v>
      </c>
    </row>
    <row r="38" spans="1:7">
      <c r="A38" s="32" t="s">
        <v>46</v>
      </c>
      <c r="B38" s="49" t="s">
        <v>47</v>
      </c>
      <c r="C38" s="25" t="s">
        <v>12</v>
      </c>
      <c r="D38" s="36">
        <f>D37*0.9*11%</f>
        <v>1196.0091</v>
      </c>
      <c r="E38" s="48">
        <f>E37*0.9*0.11</f>
        <v>1356.6762000000001</v>
      </c>
      <c r="F38" s="22">
        <f t="shared" si="1"/>
        <v>160.66710000000012</v>
      </c>
      <c r="G38" s="23">
        <f t="shared" si="0"/>
        <v>13.433601801190317</v>
      </c>
    </row>
    <row r="39" spans="1:7">
      <c r="A39" s="53" t="s">
        <v>48</v>
      </c>
      <c r="B39" s="19" t="s">
        <v>49</v>
      </c>
      <c r="C39" s="25" t="s">
        <v>12</v>
      </c>
      <c r="D39" s="58">
        <v>1129.92</v>
      </c>
      <c r="E39" s="21">
        <v>1285.75</v>
      </c>
      <c r="F39" s="22">
        <f t="shared" si="1"/>
        <v>155.82999999999993</v>
      </c>
      <c r="G39" s="23">
        <f t="shared" si="0"/>
        <v>13.791241857830636</v>
      </c>
    </row>
    <row r="40" spans="1:7">
      <c r="A40" s="53" t="s">
        <v>50</v>
      </c>
      <c r="B40" s="19" t="s">
        <v>51</v>
      </c>
      <c r="C40" s="25" t="s">
        <v>12</v>
      </c>
      <c r="D40" s="58"/>
      <c r="E40" s="21"/>
      <c r="F40" s="22">
        <f t="shared" si="1"/>
        <v>0</v>
      </c>
      <c r="G40" s="23" t="e">
        <f t="shared" si="0"/>
        <v>#DIV/0!</v>
      </c>
    </row>
    <row r="41" spans="1:7" ht="38.25">
      <c r="A41" s="59" t="s">
        <v>52</v>
      </c>
      <c r="B41" s="49" t="s">
        <v>53</v>
      </c>
      <c r="C41" s="20" t="s">
        <v>12</v>
      </c>
      <c r="D41" s="50"/>
      <c r="E41" s="21"/>
      <c r="F41" s="22">
        <f t="shared" si="1"/>
        <v>0</v>
      </c>
      <c r="G41" s="23" t="e">
        <f t="shared" si="0"/>
        <v>#DIV/0!</v>
      </c>
    </row>
    <row r="42" spans="1:7">
      <c r="A42" s="53" t="s">
        <v>54</v>
      </c>
      <c r="B42" s="19" t="s">
        <v>55</v>
      </c>
      <c r="C42" s="25" t="s">
        <v>12</v>
      </c>
      <c r="D42" s="58">
        <f>D43+D44+D45+D46+D47+D48+D49+D50+D51+D52+D53+D54+D55+D56+D57</f>
        <v>1019.35</v>
      </c>
      <c r="E42" s="21">
        <f>E56+E55+E54+E53+E52+E51+E50+E49+E48+E47+E46+E45+E44+E43+E57</f>
        <v>1267.5409999999999</v>
      </c>
      <c r="F42" s="22">
        <f t="shared" si="1"/>
        <v>248.19099999999992</v>
      </c>
      <c r="G42" s="23">
        <f t="shared" si="0"/>
        <v>24.347966841614745</v>
      </c>
    </row>
    <row r="43" spans="1:7">
      <c r="A43" s="32" t="s">
        <v>56</v>
      </c>
      <c r="B43" s="49" t="s">
        <v>57</v>
      </c>
      <c r="C43" s="25" t="s">
        <v>12</v>
      </c>
      <c r="D43" s="30">
        <v>14.1</v>
      </c>
      <c r="E43" s="31">
        <v>25.024000000000001</v>
      </c>
      <c r="F43" s="22">
        <f t="shared" si="1"/>
        <v>10.924000000000001</v>
      </c>
      <c r="G43" s="23">
        <f t="shared" si="0"/>
        <v>77.475177304964546</v>
      </c>
    </row>
    <row r="44" spans="1:7">
      <c r="A44" s="32" t="s">
        <v>58</v>
      </c>
      <c r="B44" s="49" t="s">
        <v>59</v>
      </c>
      <c r="C44" s="25" t="s">
        <v>12</v>
      </c>
      <c r="D44" s="30">
        <v>165.4</v>
      </c>
      <c r="E44" s="31">
        <f>151.45+0.556+6.605+10.576+97.904</f>
        <v>267.09100000000001</v>
      </c>
      <c r="F44" s="22">
        <f t="shared" si="1"/>
        <v>101.691</v>
      </c>
      <c r="G44" s="23">
        <f t="shared" si="0"/>
        <v>61.481862152357927</v>
      </c>
    </row>
    <row r="45" spans="1:7" ht="25.5">
      <c r="A45" s="32" t="s">
        <v>60</v>
      </c>
      <c r="B45" s="49" t="s">
        <v>61</v>
      </c>
      <c r="C45" s="25" t="s">
        <v>12</v>
      </c>
      <c r="D45" s="30">
        <v>10.4</v>
      </c>
      <c r="E45" s="31">
        <v>28.003</v>
      </c>
      <c r="F45" s="22">
        <f t="shared" si="1"/>
        <v>17.603000000000002</v>
      </c>
      <c r="G45" s="23">
        <f t="shared" si="0"/>
        <v>169.25961538461542</v>
      </c>
    </row>
    <row r="46" spans="1:7">
      <c r="A46" s="32" t="s">
        <v>62</v>
      </c>
      <c r="B46" s="49" t="s">
        <v>63</v>
      </c>
      <c r="C46" s="25" t="s">
        <v>12</v>
      </c>
      <c r="D46" s="30">
        <v>327.45</v>
      </c>
      <c r="E46" s="31">
        <v>353.9</v>
      </c>
      <c r="F46" s="22">
        <f t="shared" si="1"/>
        <v>26.449999999999989</v>
      </c>
      <c r="G46" s="23">
        <f t="shared" si="0"/>
        <v>8.0775690945182443</v>
      </c>
    </row>
    <row r="47" spans="1:7" ht="25.5">
      <c r="A47" s="59" t="s">
        <v>64</v>
      </c>
      <c r="B47" s="60" t="s">
        <v>65</v>
      </c>
      <c r="C47" s="20" t="s">
        <v>12</v>
      </c>
      <c r="D47" s="30">
        <v>0</v>
      </c>
      <c r="E47" s="31">
        <v>0</v>
      </c>
      <c r="F47" s="22">
        <f t="shared" si="1"/>
        <v>0</v>
      </c>
      <c r="G47" s="23" t="e">
        <f t="shared" si="0"/>
        <v>#DIV/0!</v>
      </c>
    </row>
    <row r="48" spans="1:7" ht="25.5">
      <c r="A48" s="59" t="s">
        <v>66</v>
      </c>
      <c r="B48" s="60" t="s">
        <v>67</v>
      </c>
      <c r="C48" s="20" t="s">
        <v>12</v>
      </c>
      <c r="D48" s="30">
        <v>13.1</v>
      </c>
      <c r="E48" s="31">
        <f>6.37+6.249</f>
        <v>12.619</v>
      </c>
      <c r="F48" s="22">
        <f t="shared" si="1"/>
        <v>-0.48099999999999987</v>
      </c>
      <c r="G48" s="23">
        <f t="shared" si="0"/>
        <v>-3.6717557251908386</v>
      </c>
    </row>
    <row r="49" spans="1:7">
      <c r="A49" s="32" t="s">
        <v>68</v>
      </c>
      <c r="B49" s="49" t="s">
        <v>69</v>
      </c>
      <c r="C49" s="25" t="s">
        <v>12</v>
      </c>
      <c r="D49" s="45">
        <v>180.7</v>
      </c>
      <c r="E49" s="31">
        <f>110.4+1.693+144.125</f>
        <v>256.21800000000002</v>
      </c>
      <c r="F49" s="22">
        <f t="shared" si="1"/>
        <v>75.518000000000029</v>
      </c>
      <c r="G49" s="61">
        <f t="shared" si="0"/>
        <v>41.79192030990594</v>
      </c>
    </row>
    <row r="50" spans="1:7" ht="25.5">
      <c r="A50" s="32" t="s">
        <v>70</v>
      </c>
      <c r="B50" s="49" t="s">
        <v>71</v>
      </c>
      <c r="C50" s="25" t="s">
        <v>12</v>
      </c>
      <c r="D50" s="30">
        <v>30.7</v>
      </c>
      <c r="E50" s="31">
        <v>34.262</v>
      </c>
      <c r="F50" s="22">
        <f t="shared" si="1"/>
        <v>3.5620000000000012</v>
      </c>
      <c r="G50" s="23">
        <f t="shared" si="0"/>
        <v>11.602605863192187</v>
      </c>
    </row>
    <row r="51" spans="1:7">
      <c r="A51" s="32" t="s">
        <v>72</v>
      </c>
      <c r="B51" s="49" t="s">
        <v>73</v>
      </c>
      <c r="C51" s="25" t="s">
        <v>12</v>
      </c>
      <c r="D51" s="30">
        <v>47.6</v>
      </c>
      <c r="E51" s="31">
        <v>50</v>
      </c>
      <c r="F51" s="22">
        <f t="shared" si="1"/>
        <v>2.3999999999999986</v>
      </c>
      <c r="G51" s="23">
        <f t="shared" si="0"/>
        <v>5.0420168067226854</v>
      </c>
    </row>
    <row r="52" spans="1:7">
      <c r="A52" s="32" t="s">
        <v>74</v>
      </c>
      <c r="B52" s="49" t="s">
        <v>75</v>
      </c>
      <c r="C52" s="25" t="s">
        <v>12</v>
      </c>
      <c r="D52" s="30">
        <v>13.4</v>
      </c>
      <c r="E52" s="31">
        <f>8.14+1.419</f>
        <v>9.5590000000000011</v>
      </c>
      <c r="F52" s="22">
        <f t="shared" si="1"/>
        <v>-3.8409999999999993</v>
      </c>
      <c r="G52" s="23">
        <f t="shared" si="0"/>
        <v>-28.664179104477604</v>
      </c>
    </row>
    <row r="53" spans="1:7">
      <c r="A53" s="32" t="s">
        <v>76</v>
      </c>
      <c r="B53" s="49" t="s">
        <v>77</v>
      </c>
      <c r="C53" s="25" t="s">
        <v>12</v>
      </c>
      <c r="D53" s="30">
        <v>40</v>
      </c>
      <c r="E53" s="31">
        <v>63.88</v>
      </c>
      <c r="F53" s="22">
        <f t="shared" si="1"/>
        <v>23.880000000000003</v>
      </c>
      <c r="G53" s="23">
        <f t="shared" si="0"/>
        <v>59.70000000000001</v>
      </c>
    </row>
    <row r="54" spans="1:7">
      <c r="A54" s="32" t="s">
        <v>78</v>
      </c>
      <c r="B54" s="49" t="s">
        <v>79</v>
      </c>
      <c r="C54" s="25" t="s">
        <v>12</v>
      </c>
      <c r="D54" s="30">
        <v>39.299999999999997</v>
      </c>
      <c r="E54" s="31">
        <v>41.2</v>
      </c>
      <c r="F54" s="22">
        <f t="shared" si="1"/>
        <v>1.9000000000000057</v>
      </c>
      <c r="G54" s="23">
        <f t="shared" si="0"/>
        <v>4.8346055979643916</v>
      </c>
    </row>
    <row r="55" spans="1:7">
      <c r="A55" s="32" t="s">
        <v>80</v>
      </c>
      <c r="B55" s="49" t="s">
        <v>81</v>
      </c>
      <c r="C55" s="25" t="s">
        <v>12</v>
      </c>
      <c r="D55" s="30">
        <v>14.3</v>
      </c>
      <c r="E55" s="31">
        <v>15.9</v>
      </c>
      <c r="F55" s="22">
        <f t="shared" si="1"/>
        <v>1.5999999999999996</v>
      </c>
      <c r="G55" s="23">
        <f t="shared" si="0"/>
        <v>11.188811188811187</v>
      </c>
    </row>
    <row r="56" spans="1:7" ht="25.5">
      <c r="A56" s="32" t="s">
        <v>82</v>
      </c>
      <c r="B56" s="49" t="s">
        <v>83</v>
      </c>
      <c r="C56" s="25" t="s">
        <v>12</v>
      </c>
      <c r="D56" s="30">
        <v>25.4</v>
      </c>
      <c r="E56" s="31">
        <f>2.5+2.5+2.5+2.5+10+5</f>
        <v>25</v>
      </c>
      <c r="F56" s="22">
        <f t="shared" si="1"/>
        <v>-0.39999999999999858</v>
      </c>
      <c r="G56" s="23">
        <f t="shared" si="0"/>
        <v>-1.5748031496062938</v>
      </c>
    </row>
    <row r="57" spans="1:7">
      <c r="A57" s="53" t="s">
        <v>84</v>
      </c>
      <c r="B57" s="62" t="s">
        <v>85</v>
      </c>
      <c r="C57" s="24" t="s">
        <v>12</v>
      </c>
      <c r="D57" s="63">
        <f>D58+D59+D60+D61</f>
        <v>97.499999999999986</v>
      </c>
      <c r="E57" s="64">
        <f>E62+E61+E60+E59+E58</f>
        <v>84.884999999999991</v>
      </c>
      <c r="F57" s="22">
        <f t="shared" si="1"/>
        <v>-12.614999999999995</v>
      </c>
      <c r="G57" s="23">
        <f t="shared" si="0"/>
        <v>-12.938461538461535</v>
      </c>
    </row>
    <row r="58" spans="1:7">
      <c r="A58" s="32" t="s">
        <v>86</v>
      </c>
      <c r="B58" s="49" t="s">
        <v>87</v>
      </c>
      <c r="C58" s="25" t="s">
        <v>12</v>
      </c>
      <c r="D58" s="30">
        <v>26.9</v>
      </c>
      <c r="E58" s="31">
        <f>4.772+18.235+5</f>
        <v>28.006999999999998</v>
      </c>
      <c r="F58" s="22">
        <f t="shared" si="1"/>
        <v>1.1069999999999993</v>
      </c>
      <c r="G58" s="23">
        <f t="shared" si="0"/>
        <v>4.1152416356877302</v>
      </c>
    </row>
    <row r="59" spans="1:7">
      <c r="A59" s="32" t="s">
        <v>88</v>
      </c>
      <c r="B59" s="49" t="s">
        <v>89</v>
      </c>
      <c r="C59" s="25" t="s">
        <v>12</v>
      </c>
      <c r="D59" s="30">
        <v>10.199999999999999</v>
      </c>
      <c r="E59" s="31">
        <f>8.268</f>
        <v>8.2680000000000007</v>
      </c>
      <c r="F59" s="22">
        <f t="shared" si="1"/>
        <v>-1.9319999999999986</v>
      </c>
      <c r="G59" s="23">
        <f t="shared" si="0"/>
        <v>-18.941176470588221</v>
      </c>
    </row>
    <row r="60" spans="1:7">
      <c r="A60" s="32" t="s">
        <v>90</v>
      </c>
      <c r="B60" s="49" t="s">
        <v>91</v>
      </c>
      <c r="C60" s="25" t="s">
        <v>12</v>
      </c>
      <c r="D60" s="30">
        <v>47.6</v>
      </c>
      <c r="E60" s="31">
        <v>48.61</v>
      </c>
      <c r="F60" s="22">
        <f t="shared" si="1"/>
        <v>1.009999999999998</v>
      </c>
      <c r="G60" s="23"/>
    </row>
    <row r="61" spans="1:7" ht="25.5">
      <c r="A61" s="32" t="s">
        <v>92</v>
      </c>
      <c r="B61" s="49" t="s">
        <v>93</v>
      </c>
      <c r="C61" s="25" t="s">
        <v>12</v>
      </c>
      <c r="D61" s="30">
        <v>12.8</v>
      </c>
      <c r="E61" s="31">
        <v>0</v>
      </c>
      <c r="F61" s="22">
        <f t="shared" si="1"/>
        <v>-12.8</v>
      </c>
      <c r="G61" s="23">
        <f t="shared" ref="G61:G72" si="2">F61/D61*100</f>
        <v>-100</v>
      </c>
    </row>
    <row r="62" spans="1:7">
      <c r="A62" s="32" t="s">
        <v>94</v>
      </c>
      <c r="B62" s="49" t="s">
        <v>95</v>
      </c>
      <c r="C62" s="25" t="s">
        <v>12</v>
      </c>
      <c r="D62" s="30">
        <v>0</v>
      </c>
      <c r="E62" s="64"/>
      <c r="F62" s="22">
        <f t="shared" si="1"/>
        <v>0</v>
      </c>
      <c r="G62" s="23" t="e">
        <f t="shared" si="2"/>
        <v>#DIV/0!</v>
      </c>
    </row>
    <row r="63" spans="1:7">
      <c r="A63" s="32" t="s">
        <v>96</v>
      </c>
      <c r="B63" s="49" t="s">
        <v>97</v>
      </c>
      <c r="C63" s="25" t="s">
        <v>12</v>
      </c>
      <c r="D63" s="36">
        <v>0</v>
      </c>
      <c r="E63" s="21">
        <v>0</v>
      </c>
      <c r="F63" s="22">
        <f t="shared" si="1"/>
        <v>0</v>
      </c>
      <c r="G63" s="23" t="e">
        <f t="shared" si="2"/>
        <v>#DIV/0!</v>
      </c>
    </row>
    <row r="64" spans="1:7" ht="25.5">
      <c r="A64" s="59" t="s">
        <v>98</v>
      </c>
      <c r="B64" s="49" t="s">
        <v>99</v>
      </c>
      <c r="C64" s="20" t="s">
        <v>12</v>
      </c>
      <c r="D64" s="36">
        <v>0</v>
      </c>
      <c r="E64" s="21">
        <v>0</v>
      </c>
      <c r="F64" s="22">
        <f t="shared" si="1"/>
        <v>0</v>
      </c>
      <c r="G64" s="23" t="e">
        <f t="shared" si="2"/>
        <v>#DIV/0!</v>
      </c>
    </row>
    <row r="65" spans="1:7" ht="25.5">
      <c r="A65" s="32" t="s">
        <v>100</v>
      </c>
      <c r="B65" s="49" t="s">
        <v>101</v>
      </c>
      <c r="C65" s="20" t="s">
        <v>12</v>
      </c>
      <c r="D65" s="36">
        <v>0</v>
      </c>
      <c r="E65" s="21">
        <v>0</v>
      </c>
      <c r="F65" s="22">
        <f t="shared" si="1"/>
        <v>0</v>
      </c>
      <c r="G65" s="23" t="e">
        <f t="shared" si="2"/>
        <v>#DIV/0!</v>
      </c>
    </row>
    <row r="66" spans="1:7" hidden="1">
      <c r="A66" s="32"/>
      <c r="B66" s="49" t="s">
        <v>102</v>
      </c>
      <c r="C66" s="20" t="s">
        <v>12</v>
      </c>
      <c r="D66" s="58">
        <f>D67</f>
        <v>2169.1843000000003</v>
      </c>
      <c r="E66" s="21">
        <f>E67</f>
        <v>12779.780932000001</v>
      </c>
      <c r="F66" s="22">
        <f t="shared" si="1"/>
        <v>10610.596632000001</v>
      </c>
      <c r="G66" s="23">
        <f t="shared" si="2"/>
        <v>489.15145808495845</v>
      </c>
    </row>
    <row r="67" spans="1:7" hidden="1">
      <c r="A67" s="32"/>
      <c r="B67" s="49" t="s">
        <v>103</v>
      </c>
      <c r="C67" s="20" t="s">
        <v>12</v>
      </c>
      <c r="D67" s="58">
        <f>D68+D69+D74+D75+D76+D77+D78+D79+D80+D81+D82+D83+D84+D85+D88+D91</f>
        <v>2169.1843000000003</v>
      </c>
      <c r="E67" s="21">
        <f>E68+E69+E70+E71+E72+E73+E74+E75+E76+E77+E78+E79+E80+E81+E88+E91</f>
        <v>12779.780932000001</v>
      </c>
      <c r="F67" s="22">
        <f t="shared" si="1"/>
        <v>10610.596632000001</v>
      </c>
      <c r="G67" s="23">
        <f t="shared" si="2"/>
        <v>489.15145808495845</v>
      </c>
    </row>
    <row r="68" spans="1:7" hidden="1">
      <c r="A68" s="32"/>
      <c r="B68" s="49" t="s">
        <v>104</v>
      </c>
      <c r="C68" s="20" t="s">
        <v>12</v>
      </c>
      <c r="D68" s="36">
        <v>1209.8</v>
      </c>
      <c r="E68" s="22">
        <v>2272.5</v>
      </c>
      <c r="F68" s="22">
        <f t="shared" si="1"/>
        <v>1062.7</v>
      </c>
      <c r="G68" s="23">
        <f t="shared" si="2"/>
        <v>87.840965448834524</v>
      </c>
    </row>
    <row r="69" spans="1:7" hidden="1">
      <c r="A69" s="32"/>
      <c r="B69" s="49" t="s">
        <v>105</v>
      </c>
      <c r="C69" s="20" t="s">
        <v>12</v>
      </c>
      <c r="D69" s="36">
        <f>D68*0.9*11%</f>
        <v>119.77019999999999</v>
      </c>
      <c r="E69" s="22">
        <f>E68*0.9*11%</f>
        <v>224.97749999999999</v>
      </c>
      <c r="F69" s="22">
        <f t="shared" si="1"/>
        <v>105.2073</v>
      </c>
      <c r="G69" s="23">
        <f t="shared" si="2"/>
        <v>87.840965448834524</v>
      </c>
    </row>
    <row r="70" spans="1:7">
      <c r="A70" s="53" t="s">
        <v>106</v>
      </c>
      <c r="B70" s="19" t="s">
        <v>107</v>
      </c>
      <c r="C70" s="25" t="s">
        <v>12</v>
      </c>
      <c r="D70" s="58">
        <f>D71</f>
        <v>2169.1843000000003</v>
      </c>
      <c r="E70" s="21">
        <f>E71</f>
        <v>3449.0391440000003</v>
      </c>
      <c r="F70" s="22">
        <f t="shared" si="1"/>
        <v>1279.854844</v>
      </c>
      <c r="G70" s="61">
        <f t="shared" si="2"/>
        <v>59.001664542749999</v>
      </c>
    </row>
    <row r="71" spans="1:7" ht="25.5">
      <c r="A71" s="32" t="s">
        <v>108</v>
      </c>
      <c r="B71" s="19" t="s">
        <v>109</v>
      </c>
      <c r="C71" s="25" t="s">
        <v>12</v>
      </c>
      <c r="D71" s="58">
        <f>D72+D73+D74+D75+D76+D77+D78+D79+D80+D81+D82+D83+D84+D85+D88+D91</f>
        <v>2169.1843000000003</v>
      </c>
      <c r="E71" s="21">
        <f>E72+E73+E74+E75+E76+E77+E78+E79+E80+E81+E82+E83+E85+E88+E91</f>
        <v>3449.0391440000003</v>
      </c>
      <c r="F71" s="22">
        <f t="shared" si="1"/>
        <v>1279.854844</v>
      </c>
      <c r="G71" s="23">
        <f t="shared" si="2"/>
        <v>59.001664542749999</v>
      </c>
    </row>
    <row r="72" spans="1:7" ht="25.5">
      <c r="A72" s="32" t="s">
        <v>110</v>
      </c>
      <c r="B72" s="49" t="s">
        <v>111</v>
      </c>
      <c r="C72" s="25" t="s">
        <v>12</v>
      </c>
      <c r="D72" s="30">
        <v>1209.8</v>
      </c>
      <c r="E72" s="31">
        <f>2273-118</f>
        <v>2155</v>
      </c>
      <c r="F72" s="22">
        <f t="shared" ref="F72:F113" si="3">E72-D72</f>
        <v>945.2</v>
      </c>
      <c r="G72" s="23">
        <f t="shared" si="2"/>
        <v>78.128616300214915</v>
      </c>
    </row>
    <row r="73" spans="1:7">
      <c r="A73" s="32" t="s">
        <v>112</v>
      </c>
      <c r="B73" s="49" t="s">
        <v>47</v>
      </c>
      <c r="C73" s="25" t="s">
        <v>12</v>
      </c>
      <c r="D73" s="36">
        <f>D72*0.9*11%</f>
        <v>119.77019999999999</v>
      </c>
      <c r="E73" s="22">
        <f>E72*0.9*11%</f>
        <v>213.345</v>
      </c>
      <c r="F73" s="22">
        <f t="shared" si="3"/>
        <v>93.57480000000001</v>
      </c>
      <c r="G73" s="23"/>
    </row>
    <row r="74" spans="1:7">
      <c r="A74" s="32" t="s">
        <v>113</v>
      </c>
      <c r="B74" s="49" t="s">
        <v>114</v>
      </c>
      <c r="C74" s="25" t="s">
        <v>12</v>
      </c>
      <c r="D74" s="30">
        <v>65.900000000000006</v>
      </c>
      <c r="E74" s="31">
        <f>19.2+28.1+4.9+3.3</f>
        <v>55.499999999999993</v>
      </c>
      <c r="F74" s="22">
        <f t="shared" si="3"/>
        <v>-10.400000000000013</v>
      </c>
      <c r="G74" s="23">
        <f t="shared" ref="G74:G82" si="4">F74/D74*100</f>
        <v>-15.781487101669214</v>
      </c>
    </row>
    <row r="75" spans="1:7">
      <c r="A75" s="32" t="s">
        <v>115</v>
      </c>
      <c r="B75" s="49" t="s">
        <v>57</v>
      </c>
      <c r="C75" s="25" t="s">
        <v>12</v>
      </c>
      <c r="D75" s="30">
        <v>49.4</v>
      </c>
      <c r="E75" s="31">
        <v>53.557000000000002</v>
      </c>
      <c r="F75" s="22">
        <f t="shared" si="3"/>
        <v>4.1570000000000036</v>
      </c>
      <c r="G75" s="23">
        <f t="shared" si="4"/>
        <v>8.4149797570850282</v>
      </c>
    </row>
    <row r="76" spans="1:7">
      <c r="A76" s="32" t="s">
        <v>116</v>
      </c>
      <c r="B76" s="49" t="s">
        <v>117</v>
      </c>
      <c r="C76" s="25" t="s">
        <v>12</v>
      </c>
      <c r="D76" s="30">
        <v>9.11</v>
      </c>
      <c r="E76" s="31">
        <f>6.558+1.143</f>
        <v>7.7009999999999996</v>
      </c>
      <c r="F76" s="22">
        <f t="shared" si="3"/>
        <v>-1.4089999999999998</v>
      </c>
      <c r="G76" s="23">
        <f t="shared" si="4"/>
        <v>-15.466520307354553</v>
      </c>
    </row>
    <row r="77" spans="1:7">
      <c r="A77" s="32" t="s">
        <v>118</v>
      </c>
      <c r="B77" s="49" t="s">
        <v>119</v>
      </c>
      <c r="C77" s="25" t="s">
        <v>12</v>
      </c>
      <c r="D77" s="30">
        <v>8.76</v>
      </c>
      <c r="E77" s="31">
        <f>6.716+1.171</f>
        <v>7.8870000000000005</v>
      </c>
      <c r="F77" s="22">
        <f t="shared" si="3"/>
        <v>-0.87299999999999933</v>
      </c>
      <c r="G77" s="23">
        <f t="shared" si="4"/>
        <v>-9.9657534246575263</v>
      </c>
    </row>
    <row r="78" spans="1:7" ht="38.25">
      <c r="A78" s="32" t="s">
        <v>120</v>
      </c>
      <c r="B78" s="49" t="s">
        <v>121</v>
      </c>
      <c r="C78" s="20" t="s">
        <v>12</v>
      </c>
      <c r="D78" s="45">
        <v>49.43</v>
      </c>
      <c r="E78" s="45">
        <f>42.937+7.488</f>
        <v>50.424999999999997</v>
      </c>
      <c r="F78" s="22">
        <f t="shared" si="3"/>
        <v>0.99499999999999744</v>
      </c>
      <c r="G78" s="23">
        <f t="shared" si="4"/>
        <v>2.012947602670438</v>
      </c>
    </row>
    <row r="79" spans="1:7">
      <c r="A79" s="32" t="s">
        <v>122</v>
      </c>
      <c r="B79" s="49" t="s">
        <v>123</v>
      </c>
      <c r="C79" s="25" t="s">
        <v>12</v>
      </c>
      <c r="D79" s="45">
        <v>37.799999999999997</v>
      </c>
      <c r="E79" s="31">
        <v>49.051000000000002</v>
      </c>
      <c r="F79" s="22">
        <f t="shared" si="3"/>
        <v>11.251000000000005</v>
      </c>
      <c r="G79" s="23">
        <f t="shared" si="4"/>
        <v>29.764550264550277</v>
      </c>
    </row>
    <row r="80" spans="1:7">
      <c r="A80" s="32" t="s">
        <v>124</v>
      </c>
      <c r="B80" s="49" t="s">
        <v>125</v>
      </c>
      <c r="C80" s="25" t="s">
        <v>12</v>
      </c>
      <c r="D80" s="30">
        <v>51.7</v>
      </c>
      <c r="E80" s="31">
        <v>64.12</v>
      </c>
      <c r="F80" s="22">
        <f t="shared" si="3"/>
        <v>12.420000000000002</v>
      </c>
      <c r="G80" s="23">
        <f t="shared" si="4"/>
        <v>24.023210831721471</v>
      </c>
    </row>
    <row r="81" spans="1:7" ht="63.75">
      <c r="A81" s="59" t="s">
        <v>126</v>
      </c>
      <c r="B81" s="49" t="s">
        <v>127</v>
      </c>
      <c r="C81" s="20" t="s">
        <v>12</v>
      </c>
      <c r="D81" s="31">
        <v>25.9</v>
      </c>
      <c r="E81" s="31">
        <f>19.077+1.2+0.2+3.6+4.7</f>
        <v>28.777000000000001</v>
      </c>
      <c r="F81" s="22">
        <f t="shared" si="3"/>
        <v>2.8770000000000024</v>
      </c>
      <c r="G81" s="23">
        <f t="shared" si="4"/>
        <v>11.108108108108118</v>
      </c>
    </row>
    <row r="82" spans="1:7" ht="25.5">
      <c r="A82" s="59" t="s">
        <v>128</v>
      </c>
      <c r="B82" s="49" t="s">
        <v>67</v>
      </c>
      <c r="C82" s="20" t="s">
        <v>12</v>
      </c>
      <c r="D82" s="45">
        <v>2.4</v>
      </c>
      <c r="E82" s="31">
        <f>1.646+1.614</f>
        <v>3.26</v>
      </c>
      <c r="F82" s="22">
        <f t="shared" si="3"/>
        <v>0.85999999999999988</v>
      </c>
      <c r="G82" s="23">
        <f t="shared" si="4"/>
        <v>35.833333333333329</v>
      </c>
    </row>
    <row r="83" spans="1:7">
      <c r="A83" s="32" t="s">
        <v>129</v>
      </c>
      <c r="B83" s="49" t="s">
        <v>130</v>
      </c>
      <c r="C83" s="25" t="s">
        <v>12</v>
      </c>
      <c r="D83" s="45">
        <v>11.4</v>
      </c>
      <c r="E83" s="31">
        <v>55.52</v>
      </c>
      <c r="F83" s="22">
        <f t="shared" si="3"/>
        <v>44.120000000000005</v>
      </c>
      <c r="G83" s="23"/>
    </row>
    <row r="84" spans="1:7">
      <c r="A84" s="32" t="s">
        <v>131</v>
      </c>
      <c r="B84" s="49" t="s">
        <v>132</v>
      </c>
      <c r="C84" s="25" t="s">
        <v>12</v>
      </c>
      <c r="D84" s="36">
        <v>0</v>
      </c>
      <c r="E84" s="21">
        <v>0</v>
      </c>
      <c r="F84" s="22">
        <f t="shared" si="3"/>
        <v>0</v>
      </c>
      <c r="G84" s="23" t="e">
        <f>F84/D84*100</f>
        <v>#DIV/0!</v>
      </c>
    </row>
    <row r="85" spans="1:7">
      <c r="A85" s="32" t="s">
        <v>133</v>
      </c>
      <c r="B85" s="49" t="s">
        <v>85</v>
      </c>
      <c r="C85" s="25" t="s">
        <v>12</v>
      </c>
      <c r="D85" s="58">
        <v>5.9</v>
      </c>
      <c r="E85" s="21">
        <f>E86+E87</f>
        <v>6.0339999999999998</v>
      </c>
      <c r="F85" s="22">
        <f t="shared" si="3"/>
        <v>0.13399999999999945</v>
      </c>
      <c r="G85" s="23">
        <f>F85/D85*100</f>
        <v>2.2711864406779565</v>
      </c>
    </row>
    <row r="86" spans="1:7">
      <c r="A86" s="32" t="s">
        <v>134</v>
      </c>
      <c r="B86" s="49" t="s">
        <v>135</v>
      </c>
      <c r="C86" s="25" t="s">
        <v>12</v>
      </c>
      <c r="D86" s="36">
        <v>0</v>
      </c>
      <c r="E86" s="21"/>
      <c r="F86" s="22">
        <f t="shared" si="3"/>
        <v>0</v>
      </c>
      <c r="G86" s="23" t="e">
        <f>F86/D86*100</f>
        <v>#DIV/0!</v>
      </c>
    </row>
    <row r="87" spans="1:7">
      <c r="A87" s="32" t="s">
        <v>136</v>
      </c>
      <c r="B87" s="49" t="s">
        <v>137</v>
      </c>
      <c r="C87" s="25" t="s">
        <v>12</v>
      </c>
      <c r="D87" s="36">
        <v>5.9</v>
      </c>
      <c r="E87" s="31">
        <v>6.0339999999999998</v>
      </c>
      <c r="F87" s="22">
        <f t="shared" si="3"/>
        <v>0.13399999999999945</v>
      </c>
      <c r="G87" s="23">
        <f>F87/D87*100</f>
        <v>2.2711864406779565</v>
      </c>
    </row>
    <row r="88" spans="1:7">
      <c r="A88" s="32" t="s">
        <v>138</v>
      </c>
      <c r="B88" s="19" t="s">
        <v>139</v>
      </c>
      <c r="C88" s="25" t="s">
        <v>12</v>
      </c>
      <c r="D88" s="58">
        <f>D89+D90</f>
        <v>89.46</v>
      </c>
      <c r="E88" s="64">
        <f>E90+E89</f>
        <v>164</v>
      </c>
      <c r="F88" s="22">
        <f t="shared" si="3"/>
        <v>74.540000000000006</v>
      </c>
      <c r="G88" s="23">
        <f>F88/D88*100</f>
        <v>83.322155153141082</v>
      </c>
    </row>
    <row r="89" spans="1:7">
      <c r="A89" s="32" t="s">
        <v>140</v>
      </c>
      <c r="B89" s="49" t="s">
        <v>141</v>
      </c>
      <c r="C89" s="25" t="s">
        <v>12</v>
      </c>
      <c r="D89" s="36">
        <v>48.8</v>
      </c>
      <c r="E89" s="31">
        <f>95.2</f>
        <v>95.2</v>
      </c>
      <c r="F89" s="22">
        <f t="shared" si="3"/>
        <v>46.400000000000006</v>
      </c>
      <c r="G89" s="23">
        <f t="shared" ref="G89:G113" si="5">F89/D89*100</f>
        <v>95.081967213114766</v>
      </c>
    </row>
    <row r="90" spans="1:7">
      <c r="A90" s="32" t="s">
        <v>142</v>
      </c>
      <c r="B90" s="49" t="s">
        <v>143</v>
      </c>
      <c r="C90" s="25" t="s">
        <v>12</v>
      </c>
      <c r="D90" s="36">
        <v>40.659999999999997</v>
      </c>
      <c r="E90" s="31">
        <f>58.6+10.2</f>
        <v>68.8</v>
      </c>
      <c r="F90" s="22">
        <f t="shared" si="3"/>
        <v>28.14</v>
      </c>
      <c r="G90" s="23">
        <f t="shared" si="5"/>
        <v>69.2080668962125</v>
      </c>
    </row>
    <row r="91" spans="1:7" ht="25.5">
      <c r="A91" s="53" t="s">
        <v>144</v>
      </c>
      <c r="B91" s="19" t="s">
        <v>145</v>
      </c>
      <c r="C91" s="25" t="s">
        <v>12</v>
      </c>
      <c r="D91" s="58">
        <f>D92+D93+D94+D95</f>
        <v>432.45409999999993</v>
      </c>
      <c r="E91" s="64">
        <f>E92+E93+E94+E95</f>
        <v>534.86214400000006</v>
      </c>
      <c r="F91" s="22">
        <f t="shared" si="3"/>
        <v>102.40804400000013</v>
      </c>
      <c r="G91" s="23">
        <f t="shared" si="5"/>
        <v>23.680673625247202</v>
      </c>
    </row>
    <row r="92" spans="1:7">
      <c r="A92" s="32" t="s">
        <v>146</v>
      </c>
      <c r="B92" s="49" t="s">
        <v>147</v>
      </c>
      <c r="C92" s="25" t="s">
        <v>12</v>
      </c>
      <c r="D92" s="36">
        <v>335.9</v>
      </c>
      <c r="E92" s="31">
        <v>439.45600000000002</v>
      </c>
      <c r="F92" s="22">
        <f t="shared" si="3"/>
        <v>103.55600000000004</v>
      </c>
      <c r="G92" s="23">
        <f t="shared" si="5"/>
        <v>30.829413515927374</v>
      </c>
    </row>
    <row r="93" spans="1:7">
      <c r="A93" s="32" t="s">
        <v>148</v>
      </c>
      <c r="B93" s="49" t="s">
        <v>149</v>
      </c>
      <c r="C93" s="25" t="s">
        <v>12</v>
      </c>
      <c r="D93" s="36">
        <f>D92*0.9*11%</f>
        <v>33.254100000000001</v>
      </c>
      <c r="E93" s="31">
        <f>E92*0.9*11%</f>
        <v>43.506143999999999</v>
      </c>
      <c r="F93" s="22">
        <f t="shared" si="3"/>
        <v>10.252043999999998</v>
      </c>
      <c r="G93" s="23">
        <f t="shared" si="5"/>
        <v>30.829413515927349</v>
      </c>
    </row>
    <row r="94" spans="1:7">
      <c r="A94" s="32" t="s">
        <v>150</v>
      </c>
      <c r="B94" s="49" t="s">
        <v>151</v>
      </c>
      <c r="C94" s="25" t="s">
        <v>12</v>
      </c>
      <c r="D94" s="36">
        <v>44.4</v>
      </c>
      <c r="E94" s="31">
        <f>26.6</f>
        <v>26.6</v>
      </c>
      <c r="F94" s="22">
        <f t="shared" si="3"/>
        <v>-17.799999999999997</v>
      </c>
      <c r="G94" s="23">
        <f t="shared" si="5"/>
        <v>-40.090090090090087</v>
      </c>
    </row>
    <row r="95" spans="1:7" ht="25.5">
      <c r="A95" s="32" t="s">
        <v>152</v>
      </c>
      <c r="B95" s="49" t="s">
        <v>153</v>
      </c>
      <c r="C95" s="25" t="s">
        <v>12</v>
      </c>
      <c r="D95" s="36">
        <v>18.899999999999999</v>
      </c>
      <c r="E95" s="31">
        <f>25+0.3</f>
        <v>25.3</v>
      </c>
      <c r="F95" s="22">
        <f t="shared" si="3"/>
        <v>6.4000000000000021</v>
      </c>
      <c r="G95" s="23">
        <f t="shared" si="5"/>
        <v>33.862433862433875</v>
      </c>
    </row>
    <row r="96" spans="1:7">
      <c r="A96" s="53" t="s">
        <v>154</v>
      </c>
      <c r="B96" s="65" t="s">
        <v>155</v>
      </c>
      <c r="C96" s="25" t="s">
        <v>12</v>
      </c>
      <c r="D96" s="26">
        <f>D7+D66-0.01</f>
        <v>39988.4542286</v>
      </c>
      <c r="E96" s="21">
        <f>E7+E70</f>
        <v>51524.182969000001</v>
      </c>
      <c r="F96" s="22">
        <f t="shared" si="3"/>
        <v>11535.728740400002</v>
      </c>
      <c r="G96" s="23">
        <f t="shared" si="5"/>
        <v>28.847648559892509</v>
      </c>
    </row>
    <row r="97" spans="1:7">
      <c r="A97" s="53" t="s">
        <v>156</v>
      </c>
      <c r="B97" s="65" t="s">
        <v>157</v>
      </c>
      <c r="C97" s="66" t="s">
        <v>12</v>
      </c>
      <c r="D97" s="26"/>
      <c r="E97" s="26"/>
      <c r="F97" s="22">
        <f t="shared" si="3"/>
        <v>0</v>
      </c>
      <c r="G97" s="23" t="e">
        <f t="shared" si="5"/>
        <v>#DIV/0!</v>
      </c>
    </row>
    <row r="98" spans="1:7">
      <c r="A98" s="53" t="s">
        <v>158</v>
      </c>
      <c r="B98" s="65" t="s">
        <v>159</v>
      </c>
      <c r="C98" s="25" t="s">
        <v>12</v>
      </c>
      <c r="D98" s="26">
        <f>D96+D97</f>
        <v>39988.4542286</v>
      </c>
      <c r="E98" s="26">
        <f>E96</f>
        <v>51524.182969000001</v>
      </c>
      <c r="F98" s="22">
        <f t="shared" si="3"/>
        <v>11535.728740400002</v>
      </c>
      <c r="G98" s="23">
        <f t="shared" si="5"/>
        <v>28.847648559892509</v>
      </c>
    </row>
    <row r="99" spans="1:7" hidden="1">
      <c r="A99" s="53" t="s">
        <v>160</v>
      </c>
      <c r="B99" s="65" t="s">
        <v>161</v>
      </c>
      <c r="C99" s="25" t="s">
        <v>41</v>
      </c>
      <c r="D99" s="58"/>
      <c r="E99" s="26" t="s">
        <v>162</v>
      </c>
      <c r="F99" s="22" t="e">
        <f t="shared" si="3"/>
        <v>#VALUE!</v>
      </c>
      <c r="G99" s="23" t="e">
        <f t="shared" si="5"/>
        <v>#VALUE!</v>
      </c>
    </row>
    <row r="100" spans="1:7" hidden="1">
      <c r="A100" s="53"/>
      <c r="B100" s="35" t="s">
        <v>163</v>
      </c>
      <c r="C100" s="25" t="s">
        <v>41</v>
      </c>
      <c r="D100" s="58"/>
      <c r="E100" s="26" t="s">
        <v>162</v>
      </c>
      <c r="F100" s="22" t="e">
        <f t="shared" si="3"/>
        <v>#VALUE!</v>
      </c>
      <c r="G100" s="23" t="e">
        <f t="shared" si="5"/>
        <v>#VALUE!</v>
      </c>
    </row>
    <row r="101" spans="1:7" hidden="1">
      <c r="A101" s="53"/>
      <c r="B101" s="35" t="s">
        <v>164</v>
      </c>
      <c r="C101" s="25" t="s">
        <v>41</v>
      </c>
      <c r="D101" s="58"/>
      <c r="E101" s="67" t="s">
        <v>162</v>
      </c>
      <c r="F101" s="22" t="e">
        <f t="shared" si="3"/>
        <v>#VALUE!</v>
      </c>
      <c r="G101" s="23" t="e">
        <f t="shared" si="5"/>
        <v>#VALUE!</v>
      </c>
    </row>
    <row r="102" spans="1:7" hidden="1">
      <c r="A102" s="68"/>
      <c r="B102" s="69" t="s">
        <v>39</v>
      </c>
      <c r="C102" s="25" t="s">
        <v>41</v>
      </c>
      <c r="D102" s="58"/>
      <c r="E102" s="48"/>
      <c r="F102" s="22">
        <f t="shared" si="3"/>
        <v>0</v>
      </c>
      <c r="G102" s="23" t="e">
        <f t="shared" si="5"/>
        <v>#DIV/0!</v>
      </c>
    </row>
    <row r="103" spans="1:7" hidden="1">
      <c r="A103" s="70" t="s">
        <v>165</v>
      </c>
      <c r="B103" s="4" t="s">
        <v>166</v>
      </c>
      <c r="C103" s="24" t="s">
        <v>9</v>
      </c>
      <c r="D103" s="58"/>
      <c r="E103" s="26"/>
      <c r="F103" s="22">
        <f t="shared" si="3"/>
        <v>0</v>
      </c>
      <c r="G103" s="23" t="e">
        <f t="shared" si="5"/>
        <v>#DIV/0!</v>
      </c>
    </row>
    <row r="104" spans="1:7" hidden="1">
      <c r="A104" s="71"/>
      <c r="B104" s="11"/>
      <c r="C104" s="25" t="s">
        <v>167</v>
      </c>
      <c r="D104" s="58"/>
      <c r="E104" s="72"/>
      <c r="F104" s="22">
        <f t="shared" si="3"/>
        <v>0</v>
      </c>
      <c r="G104" s="23" t="e">
        <f t="shared" si="5"/>
        <v>#DIV/0!</v>
      </c>
    </row>
    <row r="105" spans="1:7">
      <c r="A105" s="53" t="s">
        <v>168</v>
      </c>
      <c r="B105" s="65" t="s">
        <v>169</v>
      </c>
      <c r="C105" s="25" t="s">
        <v>41</v>
      </c>
      <c r="D105" s="58">
        <v>1124</v>
      </c>
      <c r="E105" s="73">
        <v>1190.8</v>
      </c>
      <c r="F105" s="22">
        <f t="shared" si="3"/>
        <v>66.799999999999955</v>
      </c>
      <c r="G105" s="23">
        <f t="shared" si="5"/>
        <v>5.9430604982206363</v>
      </c>
    </row>
    <row r="106" spans="1:7" ht="25.5">
      <c r="A106" s="74" t="s">
        <v>170</v>
      </c>
      <c r="B106" s="75" t="s">
        <v>171</v>
      </c>
      <c r="C106" s="76" t="s">
        <v>12</v>
      </c>
      <c r="D106" s="54">
        <f>D98/D105</f>
        <v>35.576916573487544</v>
      </c>
      <c r="E106" s="77">
        <f>E98/E105</f>
        <v>43.268544649815254</v>
      </c>
      <c r="F106" s="22">
        <f t="shared" si="3"/>
        <v>7.6916280763277101</v>
      </c>
      <c r="G106" s="23">
        <f t="shared" si="5"/>
        <v>21.619715301746041</v>
      </c>
    </row>
    <row r="107" spans="1:7">
      <c r="A107" s="53"/>
      <c r="B107" s="19" t="s">
        <v>172</v>
      </c>
      <c r="C107" s="24"/>
      <c r="D107" s="58"/>
      <c r="E107" s="58"/>
      <c r="F107" s="22">
        <f t="shared" si="3"/>
        <v>0</v>
      </c>
      <c r="G107" s="23">
        <v>0</v>
      </c>
    </row>
    <row r="108" spans="1:7" ht="25.5">
      <c r="A108" s="24">
        <v>8</v>
      </c>
      <c r="B108" s="78" t="s">
        <v>173</v>
      </c>
      <c r="C108" s="24" t="s">
        <v>174</v>
      </c>
      <c r="D108" s="54">
        <f>D109+D110</f>
        <v>32</v>
      </c>
      <c r="E108" s="54">
        <f>E110+E109</f>
        <v>32</v>
      </c>
      <c r="F108" s="22">
        <f t="shared" si="3"/>
        <v>0</v>
      </c>
      <c r="G108" s="23">
        <f t="shared" si="5"/>
        <v>0</v>
      </c>
    </row>
    <row r="109" spans="1:7">
      <c r="A109" s="79" t="s">
        <v>175</v>
      </c>
      <c r="B109" s="80" t="s">
        <v>176</v>
      </c>
      <c r="C109" s="25" t="s">
        <v>174</v>
      </c>
      <c r="D109" s="36">
        <v>30</v>
      </c>
      <c r="E109" s="36">
        <v>30</v>
      </c>
      <c r="F109" s="22">
        <f t="shared" si="3"/>
        <v>0</v>
      </c>
      <c r="G109" s="23">
        <f t="shared" si="5"/>
        <v>0</v>
      </c>
    </row>
    <row r="110" spans="1:7">
      <c r="A110" s="25" t="s">
        <v>177</v>
      </c>
      <c r="B110" s="80" t="s">
        <v>178</v>
      </c>
      <c r="C110" s="81" t="s">
        <v>174</v>
      </c>
      <c r="D110" s="36">
        <v>2</v>
      </c>
      <c r="E110" s="36">
        <v>2</v>
      </c>
      <c r="F110" s="22">
        <f t="shared" si="3"/>
        <v>0</v>
      </c>
      <c r="G110" s="23">
        <f t="shared" si="5"/>
        <v>0</v>
      </c>
    </row>
    <row r="111" spans="1:7">
      <c r="A111" s="24">
        <v>9</v>
      </c>
      <c r="B111" s="82" t="s">
        <v>179</v>
      </c>
      <c r="C111" s="24" t="s">
        <v>22</v>
      </c>
      <c r="D111" s="58">
        <f>(D37+D68+D92)/D108/12*1000</f>
        <v>35485.9375</v>
      </c>
      <c r="E111" s="58">
        <f>(E37+E92)/E109/12*1000</f>
        <v>39286.822222222218</v>
      </c>
      <c r="F111" s="22">
        <f t="shared" si="3"/>
        <v>3800.8847222222175</v>
      </c>
      <c r="G111" s="23">
        <f t="shared" si="5"/>
        <v>10.710960425442382</v>
      </c>
    </row>
    <row r="112" spans="1:7">
      <c r="A112" s="79" t="s">
        <v>180</v>
      </c>
      <c r="B112" s="80" t="s">
        <v>181</v>
      </c>
      <c r="C112" s="25" t="s">
        <v>22</v>
      </c>
      <c r="D112" s="36">
        <f>(D37+D92)/D109/12*1000</f>
        <v>34491.111111111109</v>
      </c>
      <c r="E112" s="50">
        <f>E37/E109/12*1000</f>
        <v>38066.111111111102</v>
      </c>
      <c r="F112" s="22">
        <f t="shared" si="3"/>
        <v>3574.9999999999927</v>
      </c>
      <c r="G112" s="23">
        <f t="shared" si="5"/>
        <v>10.364989369241652</v>
      </c>
    </row>
    <row r="113" spans="1:7">
      <c r="A113" s="79" t="s">
        <v>182</v>
      </c>
      <c r="B113" s="80" t="s">
        <v>178</v>
      </c>
      <c r="C113" s="25" t="s">
        <v>22</v>
      </c>
      <c r="D113" s="36">
        <f>D68/D110/12*1000</f>
        <v>50408.333333333328</v>
      </c>
      <c r="E113" s="36">
        <f>E72/E110/12*1000</f>
        <v>89791.666666666672</v>
      </c>
      <c r="F113" s="22">
        <f t="shared" si="3"/>
        <v>39383.333333333343</v>
      </c>
      <c r="G113" s="23">
        <f t="shared" si="5"/>
        <v>78.128616300214944</v>
      </c>
    </row>
    <row r="116" spans="1:7">
      <c r="B116" s="83" t="s">
        <v>183</v>
      </c>
      <c r="C116" s="83"/>
      <c r="D116" s="83"/>
      <c r="E116" s="83" t="s">
        <v>184</v>
      </c>
    </row>
    <row r="117" spans="1:7">
      <c r="B117" s="83" t="s">
        <v>185</v>
      </c>
      <c r="C117" s="83"/>
      <c r="D117" s="83"/>
      <c r="E117" s="83"/>
    </row>
    <row r="119" spans="1:7">
      <c r="B119" s="83" t="s">
        <v>186</v>
      </c>
      <c r="C119" s="83"/>
      <c r="D119" s="83"/>
      <c r="E119" s="83" t="s">
        <v>187</v>
      </c>
    </row>
  </sheetData>
  <mergeCells count="9">
    <mergeCell ref="A103:A104"/>
    <mergeCell ref="B103:B104"/>
    <mergeCell ref="A2:G2"/>
    <mergeCell ref="A3:G3"/>
    <mergeCell ref="A4:A5"/>
    <mergeCell ref="B4:B5"/>
    <mergeCell ref="C4:C5"/>
    <mergeCell ref="D4:D5"/>
    <mergeCell ref="F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очистка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2016-05-06T09:03:53Z</dcterms:created>
  <dcterms:modified xsi:type="dcterms:W3CDTF">2016-05-06T09:05:10Z</dcterms:modified>
</cp:coreProperties>
</file>